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walda/Documents/"/>
    </mc:Choice>
  </mc:AlternateContent>
  <xr:revisionPtr revIDLastSave="0" documentId="8_{AB38CB31-B92C-FF48-B21F-6491BB5C0D27}" xr6:coauthVersionLast="47" xr6:coauthVersionMax="47" xr10:uidLastSave="{00000000-0000-0000-0000-000000000000}"/>
  <bookViews>
    <workbookView xWindow="2980" yWindow="2720" windowWidth="27500" windowHeight="16860" xr2:uid="{FB9C4549-6ADE-FD46-A99E-94388A2DC0A5}"/>
  </bookViews>
  <sheets>
    <sheet name="Dashboard" sheetId="1" r:id="rId1"/>
    <sheet name="Inputs" sheetId="2" r:id="rId2"/>
    <sheet name="5-Year Projections" sheetId="3" r:id="rId3"/>
    <sheet name="Sensitivity Analysis" sheetId="4" r:id="rId4"/>
    <sheet name="Industry Models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H25" i="1"/>
  <c r="G25" i="1"/>
  <c r="H24" i="1"/>
  <c r="G24" i="1"/>
  <c r="C24" i="1"/>
  <c r="C23" i="1"/>
  <c r="C22" i="1"/>
  <c r="C21" i="1"/>
  <c r="G19" i="1"/>
  <c r="G17" i="1"/>
  <c r="G16" i="1"/>
  <c r="G15" i="1"/>
  <c r="A15" i="1"/>
  <c r="J9" i="1"/>
  <c r="G9" i="1"/>
  <c r="D9" i="1"/>
  <c r="A9" i="1"/>
  <c r="C3" i="1"/>
  <c r="G32" i="4"/>
  <c r="F32" i="4"/>
  <c r="E32" i="4"/>
  <c r="G31" i="4"/>
  <c r="F31" i="4"/>
  <c r="E31" i="4"/>
  <c r="G30" i="4"/>
  <c r="F30" i="4"/>
  <c r="E30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B32" i="3"/>
  <c r="B31" i="3"/>
  <c r="B30" i="3"/>
  <c r="B29" i="3"/>
  <c r="H26" i="3"/>
  <c r="G26" i="3"/>
  <c r="F26" i="3"/>
  <c r="E26" i="3"/>
  <c r="D26" i="3"/>
  <c r="C26" i="3"/>
  <c r="B26" i="3"/>
  <c r="G25" i="3"/>
  <c r="F25" i="3"/>
  <c r="E25" i="3"/>
  <c r="D25" i="3"/>
  <c r="C25" i="3"/>
  <c r="B25" i="3"/>
  <c r="H23" i="3"/>
  <c r="G23" i="3"/>
  <c r="F23" i="3"/>
  <c r="E23" i="3"/>
  <c r="D23" i="3"/>
  <c r="C23" i="3"/>
  <c r="B23" i="3"/>
  <c r="H22" i="3"/>
  <c r="G22" i="3"/>
  <c r="F22" i="3"/>
  <c r="E22" i="3"/>
  <c r="D22" i="3"/>
  <c r="C22" i="3"/>
  <c r="B22" i="3"/>
  <c r="H21" i="3"/>
  <c r="B21" i="3"/>
  <c r="H20" i="3"/>
  <c r="G20" i="3"/>
  <c r="F20" i="3"/>
  <c r="E20" i="3"/>
  <c r="D20" i="3"/>
  <c r="C20" i="3"/>
  <c r="B20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H14" i="3"/>
  <c r="G14" i="3"/>
  <c r="F14" i="3"/>
  <c r="E14" i="3"/>
  <c r="D14" i="3"/>
  <c r="C14" i="3"/>
  <c r="B14" i="3"/>
  <c r="H12" i="3"/>
  <c r="G12" i="3"/>
  <c r="F12" i="3"/>
  <c r="E12" i="3"/>
  <c r="D12" i="3"/>
  <c r="C12" i="3"/>
  <c r="B12" i="3"/>
  <c r="H11" i="3"/>
  <c r="G11" i="3"/>
  <c r="F11" i="3"/>
  <c r="E11" i="3"/>
  <c r="D11" i="3"/>
  <c r="C11" i="3"/>
  <c r="H10" i="3"/>
  <c r="G10" i="3"/>
  <c r="F10" i="3"/>
  <c r="E10" i="3"/>
  <c r="D10" i="3"/>
  <c r="C10" i="3"/>
  <c r="H9" i="3"/>
  <c r="G9" i="3"/>
  <c r="F9" i="3"/>
  <c r="E9" i="3"/>
  <c r="D9" i="3"/>
  <c r="C9" i="3"/>
  <c r="H6" i="3"/>
  <c r="G6" i="3"/>
  <c r="F6" i="3"/>
  <c r="E6" i="3"/>
  <c r="D6" i="3"/>
  <c r="C6" i="3"/>
  <c r="C11" i="2"/>
</calcChain>
</file>

<file path=xl/sharedStrings.xml><?xml version="1.0" encoding="utf-8"?>
<sst xmlns="http://schemas.openxmlformats.org/spreadsheetml/2006/main" count="142" uniqueCount="130">
  <si>
    <t>ROI CALCULATOR - INPUT PARAMETERS</t>
  </si>
  <si>
    <t>Select Industry:</t>
  </si>
  <si>
    <t>Technology</t>
  </si>
  <si>
    <t>INITIAL INVESTMENT</t>
  </si>
  <si>
    <t>Capital Expenditure</t>
  </si>
  <si>
    <t>Implementation Costs</t>
  </si>
  <si>
    <t>Training &amp; Setup</t>
  </si>
  <si>
    <t>Working Capital</t>
  </si>
  <si>
    <t>Total Initial Investment</t>
  </si>
  <si>
    <t>REVENUE PARAMETERS</t>
  </si>
  <si>
    <t>Year 1 Revenue</t>
  </si>
  <si>
    <t>Annual Growth Rate</t>
  </si>
  <si>
    <t>Market Share Growth</t>
  </si>
  <si>
    <t>COST PARAMETERS</t>
  </si>
  <si>
    <t>Variable Cost %</t>
  </si>
  <si>
    <t>Fixed Costs (Annual)</t>
  </si>
  <si>
    <t>Annual Cost Inflation</t>
  </si>
  <si>
    <t>FINANCIAL PARAMETERS</t>
  </si>
  <si>
    <t>Discount Rate (WACC)</t>
  </si>
  <si>
    <t>Tax Rate</t>
  </si>
  <si>
    <t>Depreciation Years</t>
  </si>
  <si>
    <t>RISK ADJUSTMENTS</t>
  </si>
  <si>
    <t>Market Risk Factor</t>
  </si>
  <si>
    <t>Execution Risk Factor</t>
  </si>
  <si>
    <t>Technology Risk Factor</t>
  </si>
  <si>
    <t>5-YEAR FINANCIAL PROJECTIONS</t>
  </si>
  <si>
    <t>Financial Metric</t>
  </si>
  <si>
    <t>Year 0</t>
  </si>
  <si>
    <t>Year 1</t>
  </si>
  <si>
    <t>Year 2</t>
  </si>
  <si>
    <t>Year 3</t>
  </si>
  <si>
    <t>Year 4</t>
  </si>
  <si>
    <t>Year 5</t>
  </si>
  <si>
    <t>Total</t>
  </si>
  <si>
    <t>REVENUE</t>
  </si>
  <si>
    <t>Gross Revenue</t>
  </si>
  <si>
    <t>COSTS</t>
  </si>
  <si>
    <t>Variable Costs</t>
  </si>
  <si>
    <t>Fixed Costs</t>
  </si>
  <si>
    <t>Depreciation</t>
  </si>
  <si>
    <t>Total Costs</t>
  </si>
  <si>
    <t>EBITDA</t>
  </si>
  <si>
    <t>EBIT</t>
  </si>
  <si>
    <t>Tax</t>
  </si>
  <si>
    <t>Net Income</t>
  </si>
  <si>
    <t>CASH FLOW</t>
  </si>
  <si>
    <t>Operating Cash Flow</t>
  </si>
  <si>
    <t>Initial Investment</t>
  </si>
  <si>
    <t>Net Cash Flow</t>
  </si>
  <si>
    <t>Cumulative Cash Flow</t>
  </si>
  <si>
    <t>Discount Factor</t>
  </si>
  <si>
    <t>PV of Cash Flows</t>
  </si>
  <si>
    <t>KEY METRICS</t>
  </si>
  <si>
    <t>Net Present Value (NPV)</t>
  </si>
  <si>
    <t>Internal Rate of Return (IRR)</t>
  </si>
  <si>
    <t>Payback Period (Years)</t>
  </si>
  <si>
    <t>Return on Investment (ROI)</t>
  </si>
  <si>
    <t>SENSITIVITY ANALYSIS</t>
  </si>
  <si>
    <t>ONE-WAY SENSITIVITY ANALYSIS</t>
  </si>
  <si>
    <t>Revenue Growth Rate Impact on NPV</t>
  </si>
  <si>
    <t>Growth Rate</t>
  </si>
  <si>
    <t>NPV</t>
  </si>
  <si>
    <t>IRR</t>
  </si>
  <si>
    <t>Payback</t>
  </si>
  <si>
    <t>Variable Cost % Impact on NPV</t>
  </si>
  <si>
    <t>ROI</t>
  </si>
  <si>
    <t>TWO-WAY SENSITIVITY ANALYSIS - NPV</t>
  </si>
  <si>
    <t>Revenue Growth Rate</t>
  </si>
  <si>
    <t>Discount Rate</t>
  </si>
  <si>
    <t>SCENARIO ANALYSIS</t>
  </si>
  <si>
    <t>Scenario</t>
  </si>
  <si>
    <t>Revenue Growth</t>
  </si>
  <si>
    <t>Worst Case</t>
  </si>
  <si>
    <t>Base Case</t>
  </si>
  <si>
    <t>Best Case</t>
  </si>
  <si>
    <t>INDUSTRY-SPECIFIC BENCHMARK DATA</t>
  </si>
  <si>
    <t>Industry</t>
  </si>
  <si>
    <t>Avg Growth Rate</t>
  </si>
  <si>
    <t>Avg Operating Margin</t>
  </si>
  <si>
    <t>Typical WACC</t>
  </si>
  <si>
    <t>Avg Payback (Years)</t>
  </si>
  <si>
    <t>Min Acceptable ROI</t>
  </si>
  <si>
    <t>Manufacturing</t>
  </si>
  <si>
    <t>Retail</t>
  </si>
  <si>
    <t>Healthcare</t>
  </si>
  <si>
    <t>Financial Services</t>
  </si>
  <si>
    <t>Real Estate</t>
  </si>
  <si>
    <t>Energy</t>
  </si>
  <si>
    <t>Hospitality</t>
  </si>
  <si>
    <t>Education</t>
  </si>
  <si>
    <t>Construction</t>
  </si>
  <si>
    <t>INDUSTRY INVESTMENT GUIDELINES</t>
  </si>
  <si>
    <t>Technology:</t>
  </si>
  <si>
    <t>High growth potential, rapid obsolescence, consider 3-year horizon</t>
  </si>
  <si>
    <t>Manufacturing:</t>
  </si>
  <si>
    <t>Capital intensive, focus on efficiency gains and automation ROI</t>
  </si>
  <si>
    <t>Retail:</t>
  </si>
  <si>
    <t>Inventory turnover critical, consider omnichannel investments</t>
  </si>
  <si>
    <t>Healthcare:</t>
  </si>
  <si>
    <t>Regulatory compliance costs, long-term patient outcome focus</t>
  </si>
  <si>
    <t>Financial Services:</t>
  </si>
  <si>
    <t>Risk-adjusted returns, regulatory capital requirements</t>
  </si>
  <si>
    <t>ROI CALCULATOR DASHBOARD</t>
  </si>
  <si>
    <t>Selected Industry:</t>
  </si>
  <si>
    <t>INVESTMENT SUMMARY</t>
  </si>
  <si>
    <t>Net Present Value</t>
  </si>
  <si>
    <t>Internal Rate of Return</t>
  </si>
  <si>
    <t>Payback Period</t>
  </si>
  <si>
    <t>Return on Investment</t>
  </si>
  <si>
    <t>INVESTMENT RECOMMENDATION</t>
  </si>
  <si>
    <t>RISK FACTORS</t>
  </si>
  <si>
    <t>Market Risk:</t>
  </si>
  <si>
    <t>Execution Risk:</t>
  </si>
  <si>
    <t>Technology Risk:</t>
  </si>
  <si>
    <t>Overall Risk Score:</t>
  </si>
  <si>
    <t>FINANCIAL HIGHLIGHTS</t>
  </si>
  <si>
    <t>Total Investment:</t>
  </si>
  <si>
    <t>Year 1 Revenue:</t>
  </si>
  <si>
    <t>5-Year Total Revenue:</t>
  </si>
  <si>
    <t>5-Year Net Income:</t>
  </si>
  <si>
    <t>Status</t>
  </si>
  <si>
    <t>Worst Case:</t>
  </si>
  <si>
    <t>Base Case:</t>
  </si>
  <si>
    <t>Best Case:</t>
  </si>
  <si>
    <t>INSTRUCTIONS:</t>
  </si>
  <si>
    <t>1. Select your industry in the Inputs sheet</t>
  </si>
  <si>
    <t>2. Enter your investment parameters and assumptions</t>
  </si>
  <si>
    <t>3. Review the 5-year projections and key metrics</t>
  </si>
  <si>
    <t>4. Analyze sensitivity scenarios to understand risks</t>
  </si>
  <si>
    <t>5. Make your investment decision based on the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</si>
</sst>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"/>
    <numFmt numFmtId="165" formatCode="0.0%"/>
    <numFmt numFmtId="166" formatCode="0.0000"/>
    <numFmt numFmtId="167" formatCode="0.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/>
    <xf numFmtId="0" fontId="0" fillId="3" borderId="0" xfId="0" applyFill="1"/>
    <xf numFmtId="0" fontId="5" fillId="0" borderId="0" xfId="0" applyFont="1"/>
    <xf numFmtId="0" fontId="5" fillId="4" borderId="0" xfId="0" applyFont="1" applyFill="1"/>
    <xf numFmtId="0" fontId="0" fillId="4" borderId="0" xfId="0" applyFill="1"/>
    <xf numFmtId="164" fontId="0" fillId="0" borderId="0" xfId="0" applyNumberFormat="1"/>
    <xf numFmtId="2" fontId="0" fillId="0" borderId="0" xfId="0" applyNumberFormat="1"/>
    <xf numFmtId="0" fontId="5" fillId="4" borderId="1" xfId="0" applyFont="1" applyFill="1" applyBorder="1"/>
    <xf numFmtId="0" fontId="0" fillId="4" borderId="1" xfId="0" applyFill="1" applyBorder="1"/>
    <xf numFmtId="0" fontId="0" fillId="0" borderId="1" xfId="0" applyBorder="1"/>
    <xf numFmtId="164" fontId="0" fillId="3" borderId="1" xfId="0" applyNumberFormat="1" applyFill="1" applyBorder="1"/>
    <xf numFmtId="0" fontId="1" fillId="0" borderId="1" xfId="0" applyFont="1" applyBorder="1"/>
    <xf numFmtId="164" fontId="1" fillId="4" borderId="1" xfId="0" applyNumberFormat="1" applyFont="1" applyFill="1" applyBorder="1"/>
    <xf numFmtId="165" fontId="0" fillId="3" borderId="1" xfId="0" applyNumberFormat="1" applyFill="1" applyBorder="1"/>
    <xf numFmtId="1" fontId="0" fillId="3" borderId="1" xfId="0" applyNumberFormat="1" applyFill="1" applyBorder="1"/>
    <xf numFmtId="2" fontId="0" fillId="3" borderId="1" xfId="0" applyNumberFormat="1" applyFill="1" applyBorder="1"/>
    <xf numFmtId="165" fontId="1" fillId="0" borderId="0" xfId="0" applyNumberFormat="1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/>
    <xf numFmtId="164" fontId="0" fillId="0" borderId="1" xfId="0" applyNumberFormat="1" applyBorder="1"/>
    <xf numFmtId="164" fontId="1" fillId="0" borderId="1" xfId="0" applyNumberFormat="1" applyFont="1" applyBorder="1"/>
    <xf numFmtId="166" fontId="0" fillId="0" borderId="1" xfId="0" applyNumberFormat="1" applyBorder="1"/>
    <xf numFmtId="165" fontId="1" fillId="0" borderId="1" xfId="0" applyNumberFormat="1" applyFont="1" applyBorder="1"/>
    <xf numFmtId="0" fontId="1" fillId="4" borderId="1" xfId="0" applyFont="1" applyFill="1" applyBorder="1"/>
    <xf numFmtId="165" fontId="0" fillId="0" borderId="1" xfId="0" applyNumberFormat="1" applyBorder="1"/>
    <xf numFmtId="165" fontId="1" fillId="4" borderId="1" xfId="0" applyNumberFormat="1" applyFont="1" applyFill="1" applyBorder="1"/>
    <xf numFmtId="167" fontId="0" fillId="0" borderId="1" xfId="0" applyNumberFormat="1" applyBorder="1"/>
    <xf numFmtId="0" fontId="0" fillId="0" borderId="0" xfId="0" applyAlignment="1">
      <alignment wrapText="1"/>
    </xf>
    <xf numFmtId="0" fontId="7" fillId="2" borderId="0" xfId="0" applyFont="1" applyFill="1" applyAlignment="1">
      <alignment horizontal="center"/>
    </xf>
    <xf numFmtId="0" fontId="8" fillId="4" borderId="0" xfId="0" applyFont="1" applyFill="1"/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1" fillId="0" borderId="0" xfId="0" applyNumberFormat="1" applyFont="1"/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F8F2-A1B2-A542-BB04-DD3105C5952A}">
  <dimension ref="A1:K33"/>
  <sheetViews>
    <sheetView tabSelected="1" workbookViewId="0">
      <selection sqref="A1:J1"/>
    </sheetView>
  </sheetViews>
  <sheetFormatPr baseColWidth="10" defaultRowHeight="16" x14ac:dyDescent="0.2"/>
  <cols>
    <col min="1" max="1" width="20.83203125" customWidth="1"/>
    <col min="2" max="2" width="12.83203125" customWidth="1"/>
    <col min="3" max="3" width="15.83203125" customWidth="1"/>
    <col min="4" max="11" width="12.83203125" customWidth="1"/>
  </cols>
  <sheetData>
    <row r="1" spans="1:11" ht="26" x14ac:dyDescent="0.3">
      <c r="A1" s="32" t="s">
        <v>102</v>
      </c>
      <c r="B1" s="2"/>
      <c r="C1" s="2"/>
      <c r="D1" s="2"/>
      <c r="E1" s="2"/>
      <c r="F1" s="2"/>
      <c r="G1" s="2"/>
      <c r="H1" s="2"/>
      <c r="I1" s="2"/>
      <c r="J1" s="2"/>
    </row>
    <row r="3" spans="1:11" ht="19" x14ac:dyDescent="0.25">
      <c r="A3" s="3" t="s">
        <v>103</v>
      </c>
      <c r="C3" s="5" t="str">
        <f>Inputs!C3</f>
        <v>Technology</v>
      </c>
    </row>
    <row r="5" spans="1:11" ht="21" x14ac:dyDescent="0.25">
      <c r="A5" s="33" t="s">
        <v>104</v>
      </c>
      <c r="B5" s="7"/>
      <c r="C5" s="7"/>
      <c r="D5" s="7"/>
    </row>
    <row r="7" spans="1:11" ht="25" customHeight="1" x14ac:dyDescent="0.2">
      <c r="A7" s="35" t="s">
        <v>105</v>
      </c>
      <c r="B7" s="36"/>
      <c r="D7" s="35" t="s">
        <v>106</v>
      </c>
      <c r="E7" s="36"/>
      <c r="G7" s="35" t="s">
        <v>107</v>
      </c>
      <c r="H7" s="36"/>
      <c r="J7" s="35" t="s">
        <v>108</v>
      </c>
      <c r="K7" s="36"/>
    </row>
    <row r="8" spans="1:11" ht="25" customHeight="1" x14ac:dyDescent="0.2">
      <c r="A8" s="36"/>
      <c r="B8" s="36"/>
      <c r="D8" s="36"/>
      <c r="E8" s="36"/>
      <c r="G8" s="36"/>
      <c r="H8" s="36"/>
      <c r="J8" s="36"/>
      <c r="K8" s="36"/>
    </row>
    <row r="9" spans="1:11" ht="25" customHeight="1" x14ac:dyDescent="0.2">
      <c r="A9" s="37">
        <f>'5-Year Projections'!B28</f>
        <v>0</v>
      </c>
      <c r="B9" s="34"/>
      <c r="D9" s="38">
        <f>'5-Year Projections'!B29</f>
        <v>-143643.44120806476</v>
      </c>
      <c r="E9" s="34"/>
      <c r="G9" s="39" t="str">
        <f>'5-Year Projections'!B30&amp;" Years"</f>
        <v>0,0377068876003968 Years</v>
      </c>
      <c r="H9" s="34"/>
      <c r="J9" s="38" t="str">
        <f>'5-Year Projections'!B31</f>
        <v>N/A</v>
      </c>
      <c r="K9" s="34"/>
    </row>
    <row r="10" spans="1:11" ht="25" customHeight="1" x14ac:dyDescent="0.2">
      <c r="A10" s="34"/>
      <c r="B10" s="34"/>
      <c r="D10" s="34"/>
      <c r="E10" s="34"/>
      <c r="G10" s="34"/>
      <c r="H10" s="34"/>
      <c r="J10" s="34"/>
      <c r="K10" s="34"/>
    </row>
    <row r="13" spans="1:11" ht="21" x14ac:dyDescent="0.25">
      <c r="A13" s="33" t="s">
        <v>109</v>
      </c>
      <c r="B13" s="7"/>
      <c r="C13" s="7"/>
      <c r="D13" s="7"/>
      <c r="F13" s="33" t="s">
        <v>110</v>
      </c>
      <c r="G13" s="7"/>
      <c r="H13" s="7"/>
    </row>
    <row r="15" spans="1:11" x14ac:dyDescent="0.2">
      <c r="A15" s="40" t="str">
        <f>IF('5-Year Projections'!B28&gt;0,"PROCEED WITH INVESTMENT","DO NOT INVEST")</f>
        <v>DO NOT INVEST</v>
      </c>
      <c r="B15" s="34"/>
      <c r="C15" s="34"/>
      <c r="D15" s="34"/>
      <c r="F15" t="s">
        <v>111</v>
      </c>
      <c r="G15" s="9">
        <f>Inputs!H7</f>
        <v>1</v>
      </c>
    </row>
    <row r="16" spans="1:11" x14ac:dyDescent="0.2">
      <c r="A16" s="34"/>
      <c r="B16" s="34"/>
      <c r="C16" s="34"/>
      <c r="D16" s="34"/>
      <c r="F16" t="s">
        <v>112</v>
      </c>
      <c r="G16" s="9">
        <f>Inputs!H8</f>
        <v>1</v>
      </c>
    </row>
    <row r="17" spans="1:10" x14ac:dyDescent="0.2">
      <c r="F17" t="s">
        <v>113</v>
      </c>
      <c r="G17" s="9">
        <f>Inputs!H9</f>
        <v>1</v>
      </c>
    </row>
    <row r="19" spans="1:10" ht="19" x14ac:dyDescent="0.25">
      <c r="A19" s="6" t="s">
        <v>115</v>
      </c>
      <c r="B19" s="7"/>
      <c r="C19" s="7"/>
      <c r="D19" s="7"/>
      <c r="F19" s="3" t="s">
        <v>114</v>
      </c>
      <c r="G19" s="41">
        <f>AVERAGE(G15:G17)</f>
        <v>1</v>
      </c>
    </row>
    <row r="21" spans="1:10" ht="19" x14ac:dyDescent="0.25">
      <c r="A21" t="s">
        <v>116</v>
      </c>
      <c r="C21" s="8">
        <f>Inputs!C11</f>
        <v>800000</v>
      </c>
      <c r="F21" s="6" t="s">
        <v>69</v>
      </c>
      <c r="G21" s="7"/>
      <c r="H21" s="7"/>
      <c r="I21" s="7"/>
      <c r="J21" s="7"/>
    </row>
    <row r="22" spans="1:10" x14ac:dyDescent="0.2">
      <c r="A22" t="s">
        <v>117</v>
      </c>
      <c r="C22" s="8">
        <f>'5-Year Projections'!C6</f>
        <v>300000</v>
      </c>
    </row>
    <row r="23" spans="1:10" x14ac:dyDescent="0.2">
      <c r="A23" t="s">
        <v>118</v>
      </c>
      <c r="C23" s="8">
        <f>'5-Year Projections'!H6</f>
        <v>2104320.0630000001</v>
      </c>
      <c r="F23" s="3" t="s">
        <v>70</v>
      </c>
      <c r="G23" s="3" t="s">
        <v>61</v>
      </c>
      <c r="H23" s="3" t="s">
        <v>120</v>
      </c>
    </row>
    <row r="24" spans="1:10" x14ac:dyDescent="0.2">
      <c r="A24" t="s">
        <v>119</v>
      </c>
      <c r="C24" s="8">
        <f>'5-Year Projections'!H17</f>
        <v>411304.86150000006</v>
      </c>
      <c r="F24" t="s">
        <v>121</v>
      </c>
      <c r="G24" s="8">
        <f>'Sensitivity Analysis'!E30</f>
        <v>0</v>
      </c>
      <c r="H24" t="str">
        <f>IF(G24&gt;0,"Positive","Negative")</f>
        <v>Negative</v>
      </c>
    </row>
    <row r="25" spans="1:10" x14ac:dyDescent="0.2">
      <c r="F25" t="s">
        <v>122</v>
      </c>
      <c r="G25" s="8">
        <f>'Sensitivity Analysis'!E31</f>
        <v>0</v>
      </c>
      <c r="H25" t="str">
        <f>IF(G25&gt;0,"Positive","Negative")</f>
        <v>Negative</v>
      </c>
    </row>
    <row r="26" spans="1:10" x14ac:dyDescent="0.2">
      <c r="F26" t="s">
        <v>123</v>
      </c>
      <c r="G26" s="8">
        <f>'Sensitivity Analysis'!E32</f>
        <v>0</v>
      </c>
      <c r="H26" t="str">
        <f>IF(G26&gt;0,"Positive","Negative")</f>
        <v>Negative</v>
      </c>
    </row>
    <row r="28" spans="1:10" x14ac:dyDescent="0.2">
      <c r="A28" s="3" t="s">
        <v>124</v>
      </c>
    </row>
    <row r="29" spans="1:10" x14ac:dyDescent="0.2">
      <c r="A29" t="s">
        <v>125</v>
      </c>
    </row>
    <row r="30" spans="1:10" x14ac:dyDescent="0.2">
      <c r="A30" t="s">
        <v>126</v>
      </c>
    </row>
    <row r="31" spans="1:10" x14ac:dyDescent="0.2">
      <c r="A31" t="s">
        <v>127</v>
      </c>
    </row>
    <row r="32" spans="1:10" x14ac:dyDescent="0.2">
      <c r="A32" t="s">
        <v>128</v>
      </c>
    </row>
    <row r="33" spans="1:1" x14ac:dyDescent="0.2">
      <c r="A33" t="s">
        <v>129</v>
      </c>
    </row>
  </sheetData>
  <mergeCells count="10">
    <mergeCell ref="A15:D16"/>
    <mergeCell ref="A1:J1"/>
    <mergeCell ref="A7:B8"/>
    <mergeCell ref="A9:B10"/>
    <mergeCell ref="D7:E8"/>
    <mergeCell ref="D9:E10"/>
    <mergeCell ref="G7:H8"/>
    <mergeCell ref="G9:H10"/>
    <mergeCell ref="J7:K8"/>
    <mergeCell ref="J9:K10"/>
  </mergeCells>
  <conditionalFormatting sqref="A15">
    <cfRule type="containsText" dxfId="1" priority="1" stopIfTrue="1" operator="containsText" text="PROCEED">
      <formula>NOT(ISERROR(SEARCH("PROCEED",A15)))</formula>
    </cfRule>
    <cfRule type="containsText" dxfId="0" priority="2" stopIfTrue="1" operator="containsText" text="DO NOT">
      <formula>NOT(ISERROR(SEARCH("DO NOT",A15)))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4562-3CEA-5D45-881D-49D8B9D5F706}">
  <dimension ref="A1:H29"/>
  <sheetViews>
    <sheetView workbookViewId="0"/>
  </sheetViews>
  <sheetFormatPr baseColWidth="10" defaultRowHeight="16" x14ac:dyDescent="0.2"/>
  <cols>
    <col min="1" max="1" width="25.83203125" customWidth="1"/>
    <col min="2" max="2" width="5.83203125" customWidth="1"/>
    <col min="3" max="3" width="20.83203125" customWidth="1"/>
    <col min="4" max="5" width="5.83203125" customWidth="1"/>
    <col min="6" max="6" width="25.83203125" customWidth="1"/>
    <col min="7" max="7" width="5.83203125" customWidth="1"/>
    <col min="8" max="8" width="20.83203125" customWidth="1"/>
  </cols>
  <sheetData>
    <row r="1" spans="1:8" ht="24" x14ac:dyDescent="0.3">
      <c r="A1" s="1" t="s">
        <v>0</v>
      </c>
      <c r="B1" s="2"/>
      <c r="C1" s="2"/>
      <c r="D1" s="2"/>
      <c r="E1" s="2"/>
      <c r="F1" s="2"/>
      <c r="G1" s="2"/>
      <c r="H1" s="2"/>
    </row>
    <row r="3" spans="1:8" x14ac:dyDescent="0.2">
      <c r="A3" s="3" t="s">
        <v>1</v>
      </c>
      <c r="C3" s="4" t="s">
        <v>2</v>
      </c>
    </row>
    <row r="6" spans="1:8" ht="19" x14ac:dyDescent="0.25">
      <c r="A6" s="10" t="s">
        <v>3</v>
      </c>
      <c r="B6" s="11"/>
      <c r="C6" s="11"/>
      <c r="D6" s="11"/>
      <c r="F6" s="10" t="s">
        <v>21</v>
      </c>
      <c r="G6" s="11"/>
      <c r="H6" s="11"/>
    </row>
    <row r="7" spans="1:8" x14ac:dyDescent="0.2">
      <c r="A7" s="12" t="s">
        <v>4</v>
      </c>
      <c r="B7" s="12"/>
      <c r="C7" s="13">
        <v>500000</v>
      </c>
      <c r="D7" s="12"/>
      <c r="F7" s="12" t="s">
        <v>22</v>
      </c>
      <c r="G7" s="12"/>
      <c r="H7" s="18">
        <v>1</v>
      </c>
    </row>
    <row r="8" spans="1:8" x14ac:dyDescent="0.2">
      <c r="A8" s="12" t="s">
        <v>5</v>
      </c>
      <c r="B8" s="12"/>
      <c r="C8" s="13">
        <v>150000</v>
      </c>
      <c r="D8" s="12"/>
      <c r="F8" s="12" t="s">
        <v>23</v>
      </c>
      <c r="G8" s="12"/>
      <c r="H8" s="18">
        <v>1</v>
      </c>
    </row>
    <row r="9" spans="1:8" x14ac:dyDescent="0.2">
      <c r="A9" s="12" t="s">
        <v>6</v>
      </c>
      <c r="B9" s="12"/>
      <c r="C9" s="13">
        <v>50000</v>
      </c>
      <c r="D9" s="12"/>
      <c r="F9" s="12" t="s">
        <v>24</v>
      </c>
      <c r="G9" s="12"/>
      <c r="H9" s="18">
        <v>1</v>
      </c>
    </row>
    <row r="10" spans="1:8" x14ac:dyDescent="0.2">
      <c r="A10" s="12" t="s">
        <v>7</v>
      </c>
      <c r="B10" s="12"/>
      <c r="C10" s="13">
        <v>100000</v>
      </c>
      <c r="D10" s="12"/>
    </row>
    <row r="11" spans="1:8" x14ac:dyDescent="0.2">
      <c r="A11" s="14" t="s">
        <v>8</v>
      </c>
      <c r="B11" s="12"/>
      <c r="C11" s="15">
        <f>SUM(C7:C10)</f>
        <v>800000</v>
      </c>
      <c r="D11" s="12"/>
    </row>
    <row r="14" spans="1:8" ht="19" x14ac:dyDescent="0.25">
      <c r="A14" s="10" t="s">
        <v>9</v>
      </c>
      <c r="B14" s="11"/>
      <c r="C14" s="11"/>
      <c r="D14" s="11"/>
    </row>
    <row r="15" spans="1:8" x14ac:dyDescent="0.2">
      <c r="A15" s="12" t="s">
        <v>10</v>
      </c>
      <c r="B15" s="12"/>
      <c r="C15" s="13">
        <v>300000</v>
      </c>
      <c r="D15" s="12"/>
    </row>
    <row r="16" spans="1:8" x14ac:dyDescent="0.2">
      <c r="A16" s="12" t="s">
        <v>11</v>
      </c>
      <c r="B16" s="12"/>
      <c r="C16" s="16">
        <v>0.15</v>
      </c>
      <c r="D16" s="12"/>
    </row>
    <row r="17" spans="1:4" x14ac:dyDescent="0.2">
      <c r="A17" s="12" t="s">
        <v>12</v>
      </c>
      <c r="B17" s="12"/>
      <c r="C17" s="16">
        <v>0.02</v>
      </c>
      <c r="D17" s="12"/>
    </row>
    <row r="20" spans="1:4" ht="19" x14ac:dyDescent="0.25">
      <c r="A20" s="10" t="s">
        <v>13</v>
      </c>
      <c r="B20" s="11"/>
      <c r="C20" s="11"/>
      <c r="D20" s="11"/>
    </row>
    <row r="21" spans="1:4" x14ac:dyDescent="0.2">
      <c r="A21" s="12" t="s">
        <v>14</v>
      </c>
      <c r="B21" s="12"/>
      <c r="C21" s="16">
        <v>0.35</v>
      </c>
      <c r="D21" s="12"/>
    </row>
    <row r="22" spans="1:4" x14ac:dyDescent="0.2">
      <c r="A22" s="12" t="s">
        <v>15</v>
      </c>
      <c r="B22" s="12"/>
      <c r="C22" s="13">
        <v>100000</v>
      </c>
      <c r="D22" s="12"/>
    </row>
    <row r="23" spans="1:4" x14ac:dyDescent="0.2">
      <c r="A23" s="12" t="s">
        <v>16</v>
      </c>
      <c r="B23" s="12"/>
      <c r="C23" s="16">
        <v>0.03</v>
      </c>
      <c r="D23" s="12"/>
    </row>
    <row r="26" spans="1:4" ht="19" x14ac:dyDescent="0.25">
      <c r="A26" s="10" t="s">
        <v>17</v>
      </c>
      <c r="B26" s="11"/>
      <c r="C26" s="11"/>
      <c r="D26" s="11"/>
    </row>
    <row r="27" spans="1:4" x14ac:dyDescent="0.2">
      <c r="A27" s="12" t="s">
        <v>18</v>
      </c>
      <c r="B27" s="12"/>
      <c r="C27" s="16">
        <v>0.1</v>
      </c>
      <c r="D27" s="12"/>
    </row>
    <row r="28" spans="1:4" x14ac:dyDescent="0.2">
      <c r="A28" s="12" t="s">
        <v>19</v>
      </c>
      <c r="B28" s="12"/>
      <c r="C28" s="16">
        <v>0.25</v>
      </c>
      <c r="D28" s="12"/>
    </row>
    <row r="29" spans="1:4" x14ac:dyDescent="0.2">
      <c r="A29" s="12" t="s">
        <v>20</v>
      </c>
      <c r="B29" s="12"/>
      <c r="C29" s="17">
        <v>5</v>
      </c>
      <c r="D29" s="12"/>
    </row>
  </sheetData>
  <mergeCells count="1">
    <mergeCell ref="A1:H1"/>
  </mergeCells>
  <dataValidations count="2">
    <dataValidation type="list" allowBlank="1" showInputMessage="1" showErrorMessage="1" sqref="C3" xr:uid="{2B15C6AE-2E6B-8644-A460-731696991336}">
      <formula1>"Technology,Manufacturing,Retail,Healthcare,Financial Services,Real Estate,Energy,Hospitality,Education,Construction"</formula1>
    </dataValidation>
    <dataValidation type="decimal" allowBlank="1" showInputMessage="1" showErrorMessage="1" sqref="H7 H8 H9" xr:uid="{A3777D30-5198-6A4D-8553-74B6572FE164}">
      <formula1>0.5</formula1>
      <formula2>1.5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A600-013C-3648-B74F-E7FFE06C7288}">
  <dimension ref="A1:H32"/>
  <sheetViews>
    <sheetView workbookViewId="0"/>
  </sheetViews>
  <sheetFormatPr baseColWidth="10" defaultRowHeight="16" x14ac:dyDescent="0.2"/>
  <cols>
    <col min="1" max="1" width="25.83203125" customWidth="1"/>
    <col min="2" max="8" width="15.83203125" customWidth="1"/>
  </cols>
  <sheetData>
    <row r="1" spans="1:8" ht="24" x14ac:dyDescent="0.3">
      <c r="A1" s="1" t="s">
        <v>25</v>
      </c>
      <c r="B1" s="2"/>
      <c r="C1" s="2"/>
      <c r="D1" s="2"/>
      <c r="E1" s="2"/>
      <c r="F1" s="2"/>
      <c r="G1" s="2"/>
      <c r="H1" s="2"/>
    </row>
    <row r="3" spans="1:8" x14ac:dyDescent="0.2">
      <c r="A3" s="20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33</v>
      </c>
    </row>
    <row r="4" spans="1:8" x14ac:dyDescent="0.2">
      <c r="A4" s="12"/>
      <c r="B4" s="12"/>
      <c r="C4" s="12"/>
      <c r="D4" s="12"/>
      <c r="E4" s="12"/>
      <c r="F4" s="12"/>
      <c r="G4" s="12"/>
      <c r="H4" s="12"/>
    </row>
    <row r="5" spans="1:8" x14ac:dyDescent="0.2">
      <c r="A5" s="21" t="s">
        <v>34</v>
      </c>
      <c r="B5" s="22"/>
      <c r="C5" s="22"/>
      <c r="D5" s="22"/>
      <c r="E5" s="22"/>
      <c r="F5" s="22"/>
      <c r="G5" s="22"/>
      <c r="H5" s="22"/>
    </row>
    <row r="6" spans="1:8" x14ac:dyDescent="0.2">
      <c r="A6" s="12" t="s">
        <v>35</v>
      </c>
      <c r="B6" s="12">
        <v>0</v>
      </c>
      <c r="C6" s="23">
        <f>Inputs!C15*Inputs!H7</f>
        <v>300000</v>
      </c>
      <c r="D6" s="23">
        <f>$C$6*(1+Inputs!C16+Inputs!C17)</f>
        <v>351000</v>
      </c>
      <c r="E6" s="23">
        <f>$D$6*(1+Inputs!C16+Inputs!C17)</f>
        <v>410670</v>
      </c>
      <c r="F6" s="23">
        <f>$E$6*(1+Inputs!C16+Inputs!C17)</f>
        <v>480483.89999999997</v>
      </c>
      <c r="G6" s="23">
        <f>$F$6*(1+Inputs!C16+Inputs!C17)</f>
        <v>562166.16299999994</v>
      </c>
      <c r="H6" s="23">
        <f>SUM(B6:G6)</f>
        <v>2104320.0630000001</v>
      </c>
    </row>
    <row r="7" spans="1:8" x14ac:dyDescent="0.2">
      <c r="A7" s="12"/>
      <c r="B7" s="12"/>
      <c r="C7" s="12"/>
      <c r="D7" s="12"/>
      <c r="E7" s="12"/>
      <c r="F7" s="12"/>
      <c r="G7" s="12"/>
      <c r="H7" s="12"/>
    </row>
    <row r="8" spans="1:8" x14ac:dyDescent="0.2">
      <c r="A8" s="21" t="s">
        <v>36</v>
      </c>
      <c r="B8" s="22"/>
      <c r="C8" s="22"/>
      <c r="D8" s="22"/>
      <c r="E8" s="22"/>
      <c r="F8" s="22"/>
      <c r="G8" s="22"/>
      <c r="H8" s="22"/>
    </row>
    <row r="9" spans="1:8" x14ac:dyDescent="0.2">
      <c r="A9" s="12" t="s">
        <v>37</v>
      </c>
      <c r="B9" s="12">
        <v>0</v>
      </c>
      <c r="C9" s="23">
        <f>C6*Inputs!C21</f>
        <v>105000</v>
      </c>
      <c r="D9" s="23">
        <f>C6*Inputs!C21</f>
        <v>105000</v>
      </c>
      <c r="E9" s="23">
        <f>C6*Inputs!C21</f>
        <v>105000</v>
      </c>
      <c r="F9" s="23">
        <f>C6*Inputs!C21</f>
        <v>105000</v>
      </c>
      <c r="G9" s="23">
        <f>C6*Inputs!C21</f>
        <v>105000</v>
      </c>
      <c r="H9" s="23">
        <f>SUM(B9:G9)</f>
        <v>525000</v>
      </c>
    </row>
    <row r="10" spans="1:8" x14ac:dyDescent="0.2">
      <c r="A10" s="12" t="s">
        <v>38</v>
      </c>
      <c r="B10" s="12">
        <v>0</v>
      </c>
      <c r="C10" s="23">
        <f>Inputs!C22*Inputs!H8</f>
        <v>100000</v>
      </c>
      <c r="D10" s="23">
        <f>$C$10*(1+Inputs!C23)</f>
        <v>103000</v>
      </c>
      <c r="E10" s="23">
        <f>$D$10*(1+Inputs!C23)</f>
        <v>106090</v>
      </c>
      <c r="F10" s="23">
        <f>$E$10*(1+Inputs!C23)</f>
        <v>109272.7</v>
      </c>
      <c r="G10" s="23">
        <f>$F$10*(1+Inputs!C23)</f>
        <v>112550.88099999999</v>
      </c>
      <c r="H10" s="23">
        <f>SUM(B10:G10)</f>
        <v>530913.58100000001</v>
      </c>
    </row>
    <row r="11" spans="1:8" x14ac:dyDescent="0.2">
      <c r="A11" s="12" t="s">
        <v>39</v>
      </c>
      <c r="B11" s="12">
        <v>0</v>
      </c>
      <c r="C11" s="23">
        <f>Inputs!C7/Inputs!C29</f>
        <v>100000</v>
      </c>
      <c r="D11" s="23">
        <f>Inputs!C7/Inputs!C29</f>
        <v>100000</v>
      </c>
      <c r="E11" s="23">
        <f>Inputs!C7/Inputs!C29</f>
        <v>100000</v>
      </c>
      <c r="F11" s="23">
        <f>Inputs!C7/Inputs!C29</f>
        <v>100000</v>
      </c>
      <c r="G11" s="23">
        <f>Inputs!C7/Inputs!C29</f>
        <v>100000</v>
      </c>
      <c r="H11" s="23">
        <f>SUM(B11:G11)</f>
        <v>500000</v>
      </c>
    </row>
    <row r="12" spans="1:8" x14ac:dyDescent="0.2">
      <c r="A12" s="14" t="s">
        <v>40</v>
      </c>
      <c r="B12" s="24">
        <f>SUM($B$9:$B$11)</f>
        <v>0</v>
      </c>
      <c r="C12" s="24">
        <f>SUM($C$9:$C$11)</f>
        <v>305000</v>
      </c>
      <c r="D12" s="24">
        <f>SUM($D$9:$D$11)</f>
        <v>308000</v>
      </c>
      <c r="E12" s="24">
        <f>SUM($E$9:$E$11)</f>
        <v>311090</v>
      </c>
      <c r="F12" s="24">
        <f>SUM($F$9:$F$11)</f>
        <v>314272.7</v>
      </c>
      <c r="G12" s="24">
        <f>SUM($G$9:$G$11)</f>
        <v>317550.88099999999</v>
      </c>
      <c r="H12" s="24">
        <f>SUM($H$9:$H$11)</f>
        <v>1555913.581</v>
      </c>
    </row>
    <row r="13" spans="1:8" x14ac:dyDescent="0.2">
      <c r="A13" s="12"/>
      <c r="B13" s="12"/>
      <c r="C13" s="12"/>
      <c r="D13" s="12"/>
      <c r="E13" s="12"/>
      <c r="F13" s="12"/>
      <c r="G13" s="12"/>
      <c r="H13" s="12"/>
    </row>
    <row r="14" spans="1:8" x14ac:dyDescent="0.2">
      <c r="A14" s="14" t="s">
        <v>41</v>
      </c>
      <c r="B14" s="24">
        <f>$B$6-$B$9-$B$10</f>
        <v>0</v>
      </c>
      <c r="C14" s="24">
        <f>$C$6-$C$9-$C$10</f>
        <v>95000</v>
      </c>
      <c r="D14" s="24">
        <f>$D$6-$D$9-$D$10</f>
        <v>143000</v>
      </c>
      <c r="E14" s="24">
        <f>$E$6-$E$9-$E$10</f>
        <v>199580</v>
      </c>
      <c r="F14" s="24">
        <f>$F$6-$F$9-$F$10</f>
        <v>266211.19999999995</v>
      </c>
      <c r="G14" s="24">
        <f>$G$6-$G$9-$G$10</f>
        <v>344615.28199999995</v>
      </c>
      <c r="H14" s="24">
        <f>$H$6-$H$9-$H$10</f>
        <v>1048406.4820000001</v>
      </c>
    </row>
    <row r="15" spans="1:8" x14ac:dyDescent="0.2">
      <c r="A15" s="12" t="s">
        <v>42</v>
      </c>
      <c r="B15" s="23">
        <f>$B$14-$B$11</f>
        <v>0</v>
      </c>
      <c r="C15" s="23">
        <f>$C$14-$C$11</f>
        <v>-5000</v>
      </c>
      <c r="D15" s="23">
        <f>$D$14-$D$11</f>
        <v>43000</v>
      </c>
      <c r="E15" s="23">
        <f>$E$14-$E$11</f>
        <v>99580</v>
      </c>
      <c r="F15" s="23">
        <f>$F$14-$F$11</f>
        <v>166211.19999999995</v>
      </c>
      <c r="G15" s="23">
        <f>$G$14-$G$11</f>
        <v>244615.28199999995</v>
      </c>
      <c r="H15" s="23">
        <f>$H$14-$H$11</f>
        <v>548406.48200000008</v>
      </c>
    </row>
    <row r="16" spans="1:8" x14ac:dyDescent="0.2">
      <c r="A16" s="12" t="s">
        <v>43</v>
      </c>
      <c r="B16" s="23">
        <f>IF($B$15&gt;0,$B$15*Inputs!C28,0)</f>
        <v>0</v>
      </c>
      <c r="C16" s="23">
        <f>IF($C$15&gt;0,$C$15*Inputs!C28,0)</f>
        <v>0</v>
      </c>
      <c r="D16" s="23">
        <f>IF($D$15&gt;0,$D$15*Inputs!C28,0)</f>
        <v>10750</v>
      </c>
      <c r="E16" s="23">
        <f>IF($E$15&gt;0,$E$15*Inputs!C28,0)</f>
        <v>24895</v>
      </c>
      <c r="F16" s="23">
        <f>IF($F$15&gt;0,$F$15*Inputs!C28,0)</f>
        <v>41552.799999999988</v>
      </c>
      <c r="G16" s="23">
        <f>IF($G$15&gt;0,$G$15*Inputs!C28,0)</f>
        <v>61153.820499999987</v>
      </c>
      <c r="H16" s="23">
        <f>IF($H$15&gt;0,$H$15*Inputs!C28,0)</f>
        <v>137101.62050000002</v>
      </c>
    </row>
    <row r="17" spans="1:8" x14ac:dyDescent="0.2">
      <c r="A17" s="14" t="s">
        <v>44</v>
      </c>
      <c r="B17" s="24">
        <f>$B$15-$B$16</f>
        <v>0</v>
      </c>
      <c r="C17" s="24">
        <f>$C$15-$C$16</f>
        <v>-5000</v>
      </c>
      <c r="D17" s="24">
        <f>$D$15-$D$16</f>
        <v>32250</v>
      </c>
      <c r="E17" s="24">
        <f>$E$15-$E$16</f>
        <v>74685</v>
      </c>
      <c r="F17" s="24">
        <f>$F$15-$F$16</f>
        <v>124658.39999999997</v>
      </c>
      <c r="G17" s="24">
        <f>$G$15-$G$16</f>
        <v>183461.46149999998</v>
      </c>
      <c r="H17" s="24">
        <f>$H$15-$H$16</f>
        <v>411304.86150000006</v>
      </c>
    </row>
    <row r="18" spans="1:8" x14ac:dyDescent="0.2">
      <c r="A18" s="12"/>
      <c r="B18" s="12"/>
      <c r="C18" s="12"/>
      <c r="D18" s="12"/>
      <c r="E18" s="12"/>
      <c r="F18" s="12"/>
      <c r="G18" s="12"/>
      <c r="H18" s="12"/>
    </row>
    <row r="19" spans="1:8" x14ac:dyDescent="0.2">
      <c r="A19" s="21" t="s">
        <v>45</v>
      </c>
      <c r="B19" s="22"/>
      <c r="C19" s="22"/>
      <c r="D19" s="22"/>
      <c r="E19" s="22"/>
      <c r="F19" s="22"/>
      <c r="G19" s="22"/>
      <c r="H19" s="22"/>
    </row>
    <row r="20" spans="1:8" x14ac:dyDescent="0.2">
      <c r="A20" s="12" t="s">
        <v>46</v>
      </c>
      <c r="B20" s="23">
        <f>$B$17+$B$11</f>
        <v>0</v>
      </c>
      <c r="C20" s="23">
        <f>$C$17+$C$11</f>
        <v>95000</v>
      </c>
      <c r="D20" s="23">
        <f>$D$17+$D$11</f>
        <v>132250</v>
      </c>
      <c r="E20" s="23">
        <f>$E$17+$E$11</f>
        <v>174685</v>
      </c>
      <c r="F20" s="23">
        <f>$F$17+$F$11</f>
        <v>224658.39999999997</v>
      </c>
      <c r="G20" s="23">
        <f>$G$17+$G$11</f>
        <v>283461.46149999998</v>
      </c>
      <c r="H20" s="23">
        <f>$H$17+$H$11</f>
        <v>911304.86150000012</v>
      </c>
    </row>
    <row r="21" spans="1:8" x14ac:dyDescent="0.2">
      <c r="A21" s="12" t="s">
        <v>47</v>
      </c>
      <c r="B21" s="23">
        <f>-Inputs!C11</f>
        <v>-800000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f>SUM(B21:G21)</f>
        <v>-800000</v>
      </c>
    </row>
    <row r="22" spans="1:8" x14ac:dyDescent="0.2">
      <c r="A22" s="14" t="s">
        <v>48</v>
      </c>
      <c r="B22" s="24">
        <f>$B$20+$B$21</f>
        <v>-800000</v>
      </c>
      <c r="C22" s="24">
        <f>$C$20+$C$21</f>
        <v>95000</v>
      </c>
      <c r="D22" s="24">
        <f>$D$20+$D$21</f>
        <v>132250</v>
      </c>
      <c r="E22" s="24">
        <f>$E$20+$E$21</f>
        <v>174685</v>
      </c>
      <c r="F22" s="24">
        <f>$F$20+$F$21</f>
        <v>224658.39999999997</v>
      </c>
      <c r="G22" s="24">
        <f>$G$20+$G$21</f>
        <v>283461.46149999998</v>
      </c>
      <c r="H22" s="24">
        <f>$H$20+$H$21</f>
        <v>111304.86150000012</v>
      </c>
    </row>
    <row r="23" spans="1:8" x14ac:dyDescent="0.2">
      <c r="A23" s="12" t="s">
        <v>49</v>
      </c>
      <c r="B23" s="23">
        <f>B22</f>
        <v>-800000</v>
      </c>
      <c r="C23" s="23">
        <f>$B$23+$C$22</f>
        <v>-705000</v>
      </c>
      <c r="D23" s="23">
        <f>$C$23+$D$22</f>
        <v>-572750</v>
      </c>
      <c r="E23" s="23">
        <f>$D$23+$E$22</f>
        <v>-398065</v>
      </c>
      <c r="F23" s="23">
        <f>$E$23+$F$22</f>
        <v>-173406.60000000003</v>
      </c>
      <c r="G23" s="23">
        <f>$F$23+$G$22</f>
        <v>110054.86149999994</v>
      </c>
      <c r="H23" s="23">
        <f>G23</f>
        <v>110054.86149999994</v>
      </c>
    </row>
    <row r="24" spans="1:8" x14ac:dyDescent="0.2">
      <c r="A24" s="12"/>
      <c r="B24" s="12"/>
      <c r="C24" s="12"/>
      <c r="D24" s="12"/>
      <c r="E24" s="12"/>
      <c r="F24" s="12"/>
      <c r="G24" s="12"/>
      <c r="H24" s="12"/>
    </row>
    <row r="25" spans="1:8" x14ac:dyDescent="0.2">
      <c r="A25" s="12" t="s">
        <v>50</v>
      </c>
      <c r="B25" s="25">
        <f>1/(1+Inputs!C27)^(0)</f>
        <v>1</v>
      </c>
      <c r="C25" s="25">
        <f>1/(1+Inputs!C27)^(1)</f>
        <v>0.90909090909090906</v>
      </c>
      <c r="D25" s="25">
        <f>1/(1+Inputs!C27)^(2)</f>
        <v>0.82644628099173545</v>
      </c>
      <c r="E25" s="25">
        <f>1/(1+Inputs!C27)^(3)</f>
        <v>0.75131480090157754</v>
      </c>
      <c r="F25" s="25">
        <f>1/(1+Inputs!C27)^(4)</f>
        <v>0.68301345536507052</v>
      </c>
      <c r="G25" s="25">
        <f>1/(1+Inputs!C27)^(5)</f>
        <v>0.62092132305915493</v>
      </c>
      <c r="H25" s="12"/>
    </row>
    <row r="26" spans="1:8" x14ac:dyDescent="0.2">
      <c r="A26" s="12" t="s">
        <v>51</v>
      </c>
      <c r="B26" s="23">
        <f>$B$22*$B$25</f>
        <v>-800000</v>
      </c>
      <c r="C26" s="23">
        <f>$C$22*$C$25</f>
        <v>86363.636363636368</v>
      </c>
      <c r="D26" s="23">
        <f>$D$22*$D$25</f>
        <v>109297.52066115702</v>
      </c>
      <c r="E26" s="23">
        <f>$E$22*$E$25</f>
        <v>131243.42599549209</v>
      </c>
      <c r="F26" s="23">
        <f>$F$22*$F$25</f>
        <v>153444.71006078814</v>
      </c>
      <c r="G26" s="23">
        <f>$G$22*$G$25</f>
        <v>176007.26571086168</v>
      </c>
      <c r="H26" s="23">
        <f>SUM(B26:G26)</f>
        <v>-143643.44120806476</v>
      </c>
    </row>
    <row r="27" spans="1:8" x14ac:dyDescent="0.2">
      <c r="A27" s="12"/>
      <c r="B27" s="12"/>
      <c r="C27" s="12"/>
      <c r="D27" s="12"/>
      <c r="E27" s="12"/>
      <c r="F27" s="12"/>
      <c r="G27" s="12"/>
      <c r="H27" s="12"/>
    </row>
    <row r="28" spans="1:8" ht="19" x14ac:dyDescent="0.25">
      <c r="A28" s="10" t="s">
        <v>52</v>
      </c>
      <c r="B28" s="11"/>
      <c r="C28" s="11"/>
      <c r="D28" s="12"/>
      <c r="E28" s="12"/>
      <c r="F28" s="12"/>
      <c r="G28" s="12"/>
      <c r="H28" s="12"/>
    </row>
    <row r="29" spans="1:8" x14ac:dyDescent="0.2">
      <c r="A29" s="12" t="s">
        <v>53</v>
      </c>
      <c r="B29" s="24">
        <f>H26</f>
        <v>-143643.44120806476</v>
      </c>
      <c r="C29" s="12"/>
      <c r="D29" s="12"/>
      <c r="E29" s="12"/>
      <c r="F29" s="12"/>
      <c r="G29" s="12"/>
      <c r="H29" s="12"/>
    </row>
    <row r="30" spans="1:8" x14ac:dyDescent="0.2">
      <c r="A30" s="12" t="s">
        <v>54</v>
      </c>
      <c r="B30" s="26">
        <f>IFERROR(IRR(B22:G22),"N/A")</f>
        <v>3.7706887600396755E-2</v>
      </c>
      <c r="C30" s="12"/>
      <c r="D30" s="12"/>
      <c r="E30" s="12"/>
      <c r="F30" s="12"/>
      <c r="G30" s="12"/>
      <c r="H30" s="12"/>
    </row>
    <row r="31" spans="1:8" x14ac:dyDescent="0.2">
      <c r="A31" s="12" t="s">
        <v>55</v>
      </c>
      <c r="B31" s="14" t="str">
        <f>IFERROR(MATCH(TRUE,C23:G23&gt;0,0)+1,"N/A")</f>
        <v>N/A</v>
      </c>
      <c r="C31" s="12"/>
      <c r="D31" s="12"/>
      <c r="E31" s="12"/>
      <c r="F31" s="12"/>
      <c r="G31" s="12"/>
      <c r="H31" s="12"/>
    </row>
    <row r="32" spans="1:8" x14ac:dyDescent="0.2">
      <c r="A32" t="s">
        <v>56</v>
      </c>
      <c r="B32" s="19">
        <f>(H22+Inputs!C11)/Inputs!C11-1</f>
        <v>0.13913107687500004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C78F-CB9D-1B46-AA1A-50840058B168}">
  <dimension ref="A1:K32"/>
  <sheetViews>
    <sheetView workbookViewId="0"/>
  </sheetViews>
  <sheetFormatPr baseColWidth="10" defaultRowHeight="16" x14ac:dyDescent="0.2"/>
  <cols>
    <col min="1" max="1" width="20.83203125" customWidth="1"/>
    <col min="2" max="11" width="12.83203125" customWidth="1"/>
  </cols>
  <sheetData>
    <row r="1" spans="1:11" ht="24" x14ac:dyDescent="0.3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ht="19" x14ac:dyDescent="0.25">
      <c r="A3" s="5" t="s">
        <v>58</v>
      </c>
    </row>
    <row r="5" spans="1:11" x14ac:dyDescent="0.2">
      <c r="A5" s="3" t="s">
        <v>59</v>
      </c>
      <c r="F5" s="3" t="s">
        <v>64</v>
      </c>
    </row>
    <row r="6" spans="1:11" x14ac:dyDescent="0.2">
      <c r="A6" s="27" t="s">
        <v>60</v>
      </c>
      <c r="B6" s="27" t="s">
        <v>61</v>
      </c>
      <c r="C6" s="27" t="s">
        <v>62</v>
      </c>
      <c r="D6" s="27" t="s">
        <v>63</v>
      </c>
      <c r="F6" s="27" t="s">
        <v>14</v>
      </c>
      <c r="G6" s="27" t="s">
        <v>61</v>
      </c>
      <c r="H6" s="27" t="s">
        <v>62</v>
      </c>
      <c r="I6" s="27" t="s">
        <v>65</v>
      </c>
    </row>
    <row r="7" spans="1:11" x14ac:dyDescent="0.2">
      <c r="A7" s="28">
        <v>-0.05</v>
      </c>
      <c r="B7" s="23">
        <f>'5-Year Projections'!B28</f>
        <v>0</v>
      </c>
      <c r="C7" s="28">
        <f>'5-Year Projections'!B29</f>
        <v>-143643.44120806476</v>
      </c>
      <c r="D7" s="12">
        <f>'5-Year Projections'!B30</f>
        <v>3.7706887600396755E-2</v>
      </c>
      <c r="F7" s="28">
        <v>0.25</v>
      </c>
      <c r="G7" s="23">
        <f>'5-Year Projections'!B28</f>
        <v>0</v>
      </c>
      <c r="H7" s="28">
        <f>'5-Year Projections'!B29</f>
        <v>-143643.44120806476</v>
      </c>
      <c r="I7" s="28" t="str">
        <f>'5-Year Projections'!B31</f>
        <v>N/A</v>
      </c>
    </row>
    <row r="8" spans="1:11" x14ac:dyDescent="0.2">
      <c r="A8" s="28">
        <v>0</v>
      </c>
      <c r="B8" s="23">
        <f>'5-Year Projections'!B28</f>
        <v>0</v>
      </c>
      <c r="C8" s="28">
        <f>'5-Year Projections'!B29</f>
        <v>-143643.44120806476</v>
      </c>
      <c r="D8" s="12">
        <f>'5-Year Projections'!B30</f>
        <v>3.7706887600396755E-2</v>
      </c>
      <c r="F8" s="28">
        <v>0.3</v>
      </c>
      <c r="G8" s="23">
        <f>'5-Year Projections'!B28</f>
        <v>0</v>
      </c>
      <c r="H8" s="28">
        <f>'5-Year Projections'!B29</f>
        <v>-143643.44120806476</v>
      </c>
      <c r="I8" s="28" t="str">
        <f>'5-Year Projections'!B31</f>
        <v>N/A</v>
      </c>
    </row>
    <row r="9" spans="1:11" x14ac:dyDescent="0.2">
      <c r="A9" s="28">
        <v>0.05</v>
      </c>
      <c r="B9" s="23">
        <f>'5-Year Projections'!B28</f>
        <v>0</v>
      </c>
      <c r="C9" s="28">
        <f>'5-Year Projections'!B29</f>
        <v>-143643.44120806476</v>
      </c>
      <c r="D9" s="12">
        <f>'5-Year Projections'!B30</f>
        <v>3.7706887600396755E-2</v>
      </c>
      <c r="F9" s="28">
        <v>0.35</v>
      </c>
      <c r="G9" s="23">
        <f>'5-Year Projections'!B28</f>
        <v>0</v>
      </c>
      <c r="H9" s="28">
        <f>'5-Year Projections'!B29</f>
        <v>-143643.44120806476</v>
      </c>
      <c r="I9" s="28" t="str">
        <f>'5-Year Projections'!B31</f>
        <v>N/A</v>
      </c>
    </row>
    <row r="10" spans="1:11" x14ac:dyDescent="0.2">
      <c r="A10" s="28">
        <v>0.1</v>
      </c>
      <c r="B10" s="23">
        <f>'5-Year Projections'!B28</f>
        <v>0</v>
      </c>
      <c r="C10" s="28">
        <f>'5-Year Projections'!B29</f>
        <v>-143643.44120806476</v>
      </c>
      <c r="D10" s="12">
        <f>'5-Year Projections'!B30</f>
        <v>3.7706887600396755E-2</v>
      </c>
      <c r="F10" s="28">
        <v>0.4</v>
      </c>
      <c r="G10" s="23">
        <f>'5-Year Projections'!B28</f>
        <v>0</v>
      </c>
      <c r="H10" s="28">
        <f>'5-Year Projections'!B29</f>
        <v>-143643.44120806476</v>
      </c>
      <c r="I10" s="28" t="str">
        <f>'5-Year Projections'!B31</f>
        <v>N/A</v>
      </c>
    </row>
    <row r="11" spans="1:11" x14ac:dyDescent="0.2">
      <c r="A11" s="28">
        <v>0.15</v>
      </c>
      <c r="B11" s="23">
        <f>'5-Year Projections'!B28</f>
        <v>0</v>
      </c>
      <c r="C11" s="28">
        <f>'5-Year Projections'!B29</f>
        <v>-143643.44120806476</v>
      </c>
      <c r="D11" s="12">
        <f>'5-Year Projections'!B30</f>
        <v>3.7706887600396755E-2</v>
      </c>
      <c r="F11" s="28">
        <v>0.45</v>
      </c>
      <c r="G11" s="23">
        <f>'5-Year Projections'!B28</f>
        <v>0</v>
      </c>
      <c r="H11" s="28">
        <f>'5-Year Projections'!B29</f>
        <v>-143643.44120806476</v>
      </c>
      <c r="I11" s="28" t="str">
        <f>'5-Year Projections'!B31</f>
        <v>N/A</v>
      </c>
    </row>
    <row r="12" spans="1:11" x14ac:dyDescent="0.2">
      <c r="A12" s="28">
        <v>0.2</v>
      </c>
      <c r="B12" s="23">
        <f>'5-Year Projections'!B28</f>
        <v>0</v>
      </c>
      <c r="C12" s="28">
        <f>'5-Year Projections'!B29</f>
        <v>-143643.44120806476</v>
      </c>
      <c r="D12" s="12">
        <f>'5-Year Projections'!B30</f>
        <v>3.7706887600396755E-2</v>
      </c>
      <c r="F12" s="28">
        <v>0.5</v>
      </c>
      <c r="G12" s="23">
        <f>'5-Year Projections'!B28</f>
        <v>0</v>
      </c>
      <c r="H12" s="28">
        <f>'5-Year Projections'!B29</f>
        <v>-143643.44120806476</v>
      </c>
      <c r="I12" s="28" t="str">
        <f>'5-Year Projections'!B31</f>
        <v>N/A</v>
      </c>
    </row>
    <row r="13" spans="1:11" x14ac:dyDescent="0.2">
      <c r="A13" s="28">
        <v>0.25</v>
      </c>
      <c r="B13" s="23">
        <f>'5-Year Projections'!B28</f>
        <v>0</v>
      </c>
      <c r="C13" s="28">
        <f>'5-Year Projections'!B29</f>
        <v>-143643.44120806476</v>
      </c>
      <c r="D13" s="12">
        <f>'5-Year Projections'!B30</f>
        <v>3.7706887600396755E-2</v>
      </c>
      <c r="F13" s="28">
        <v>0.55000000000000004</v>
      </c>
      <c r="G13" s="23">
        <f>'5-Year Projections'!B28</f>
        <v>0</v>
      </c>
      <c r="H13" s="28">
        <f>'5-Year Projections'!B29</f>
        <v>-143643.44120806476</v>
      </c>
      <c r="I13" s="28" t="str">
        <f>'5-Year Projections'!B31</f>
        <v>N/A</v>
      </c>
    </row>
    <row r="14" spans="1:11" x14ac:dyDescent="0.2">
      <c r="A14" s="28">
        <v>0.3</v>
      </c>
      <c r="B14" s="23">
        <f>'5-Year Projections'!B28</f>
        <v>0</v>
      </c>
      <c r="C14" s="28">
        <f>'5-Year Projections'!B29</f>
        <v>-143643.44120806476</v>
      </c>
      <c r="D14" s="12">
        <f>'5-Year Projections'!B30</f>
        <v>3.7706887600396755E-2</v>
      </c>
      <c r="F14" s="28">
        <v>0.6</v>
      </c>
      <c r="G14" s="23">
        <f>'5-Year Projections'!B28</f>
        <v>0</v>
      </c>
      <c r="H14" s="28">
        <f>'5-Year Projections'!B29</f>
        <v>-143643.44120806476</v>
      </c>
      <c r="I14" s="28" t="str">
        <f>'5-Year Projections'!B31</f>
        <v>N/A</v>
      </c>
    </row>
    <row r="17" spans="1:7" ht="19" x14ac:dyDescent="0.25">
      <c r="A17" s="5" t="s">
        <v>66</v>
      </c>
    </row>
    <row r="19" spans="1:7" x14ac:dyDescent="0.2">
      <c r="B19" s="14" t="s">
        <v>67</v>
      </c>
      <c r="C19" s="29">
        <v>0.05</v>
      </c>
      <c r="D19" s="29">
        <v>0.1</v>
      </c>
      <c r="E19" s="29">
        <v>0.15000000000000002</v>
      </c>
      <c r="F19" s="29">
        <v>0.2</v>
      </c>
      <c r="G19" s="29">
        <v>0.25</v>
      </c>
    </row>
    <row r="20" spans="1:7" x14ac:dyDescent="0.2">
      <c r="A20" s="3" t="s">
        <v>68</v>
      </c>
      <c r="B20" s="29">
        <v>0.08</v>
      </c>
      <c r="C20" s="23">
        <f>'5-Year Projections'!B28</f>
        <v>0</v>
      </c>
      <c r="D20" s="23">
        <f>'5-Year Projections'!B28</f>
        <v>0</v>
      </c>
      <c r="E20" s="23">
        <f>'5-Year Projections'!B28</f>
        <v>0</v>
      </c>
      <c r="F20" s="23">
        <f>'5-Year Projections'!B28</f>
        <v>0</v>
      </c>
      <c r="G20" s="23">
        <f>'5-Year Projections'!B28</f>
        <v>0</v>
      </c>
    </row>
    <row r="21" spans="1:7" x14ac:dyDescent="0.2">
      <c r="B21" s="29">
        <v>0.1</v>
      </c>
      <c r="C21" s="23">
        <f>'5-Year Projections'!B28</f>
        <v>0</v>
      </c>
      <c r="D21" s="23">
        <f>'5-Year Projections'!B28</f>
        <v>0</v>
      </c>
      <c r="E21" s="23">
        <f>'5-Year Projections'!B28</f>
        <v>0</v>
      </c>
      <c r="F21" s="23">
        <f>'5-Year Projections'!B28</f>
        <v>0</v>
      </c>
      <c r="G21" s="23">
        <f>'5-Year Projections'!B28</f>
        <v>0</v>
      </c>
    </row>
    <row r="22" spans="1:7" x14ac:dyDescent="0.2">
      <c r="B22" s="29">
        <v>0.12</v>
      </c>
      <c r="C22" s="23">
        <f>'5-Year Projections'!B28</f>
        <v>0</v>
      </c>
      <c r="D22" s="23">
        <f>'5-Year Projections'!B28</f>
        <v>0</v>
      </c>
      <c r="E22" s="23">
        <f>'5-Year Projections'!B28</f>
        <v>0</v>
      </c>
      <c r="F22" s="23">
        <f>'5-Year Projections'!B28</f>
        <v>0</v>
      </c>
      <c r="G22" s="23">
        <f>'5-Year Projections'!B28</f>
        <v>0</v>
      </c>
    </row>
    <row r="23" spans="1:7" x14ac:dyDescent="0.2">
      <c r="B23" s="29">
        <v>0.14000000000000001</v>
      </c>
      <c r="C23" s="23">
        <f>'5-Year Projections'!B28</f>
        <v>0</v>
      </c>
      <c r="D23" s="23">
        <f>'5-Year Projections'!B28</f>
        <v>0</v>
      </c>
      <c r="E23" s="23">
        <f>'5-Year Projections'!B28</f>
        <v>0</v>
      </c>
      <c r="F23" s="23">
        <f>'5-Year Projections'!B28</f>
        <v>0</v>
      </c>
      <c r="G23" s="23">
        <f>'5-Year Projections'!B28</f>
        <v>0</v>
      </c>
    </row>
    <row r="24" spans="1:7" x14ac:dyDescent="0.2">
      <c r="B24" s="29">
        <v>0.16</v>
      </c>
      <c r="C24" s="23">
        <f>'5-Year Projections'!B28</f>
        <v>0</v>
      </c>
      <c r="D24" s="23">
        <f>'5-Year Projections'!B28</f>
        <v>0</v>
      </c>
      <c r="E24" s="23">
        <f>'5-Year Projections'!B28</f>
        <v>0</v>
      </c>
      <c r="F24" s="23">
        <f>'5-Year Projections'!B28</f>
        <v>0</v>
      </c>
      <c r="G24" s="23">
        <f>'5-Year Projections'!B28</f>
        <v>0</v>
      </c>
    </row>
    <row r="27" spans="1:7" ht="19" x14ac:dyDescent="0.25">
      <c r="A27" s="5" t="s">
        <v>69</v>
      </c>
    </row>
    <row r="29" spans="1:7" x14ac:dyDescent="0.2">
      <c r="A29" s="27" t="s">
        <v>70</v>
      </c>
      <c r="B29" s="27" t="s">
        <v>71</v>
      </c>
      <c r="C29" s="27" t="s">
        <v>14</v>
      </c>
      <c r="D29" s="27" t="s">
        <v>68</v>
      </c>
      <c r="E29" s="27" t="s">
        <v>61</v>
      </c>
      <c r="F29" s="27" t="s">
        <v>62</v>
      </c>
      <c r="G29" s="27" t="s">
        <v>63</v>
      </c>
    </row>
    <row r="30" spans="1:7" x14ac:dyDescent="0.2">
      <c r="A30" s="12" t="s">
        <v>72</v>
      </c>
      <c r="B30" s="28">
        <v>0.05</v>
      </c>
      <c r="C30" s="28">
        <v>0.5</v>
      </c>
      <c r="D30" s="28">
        <v>0.15</v>
      </c>
      <c r="E30" s="23">
        <f>'5-Year Projections'!B28</f>
        <v>0</v>
      </c>
      <c r="F30" s="28">
        <f>'5-Year Projections'!B29</f>
        <v>-143643.44120806476</v>
      </c>
      <c r="G30" s="12">
        <f>'5-Year Projections'!B30</f>
        <v>3.7706887600396755E-2</v>
      </c>
    </row>
    <row r="31" spans="1:7" x14ac:dyDescent="0.2">
      <c r="A31" s="12" t="s">
        <v>73</v>
      </c>
      <c r="B31" s="28">
        <v>0.15</v>
      </c>
      <c r="C31" s="28">
        <v>0.35</v>
      </c>
      <c r="D31" s="28">
        <v>0.1</v>
      </c>
      <c r="E31" s="23">
        <f>'5-Year Projections'!B28</f>
        <v>0</v>
      </c>
      <c r="F31" s="28">
        <f>'5-Year Projections'!B29</f>
        <v>-143643.44120806476</v>
      </c>
      <c r="G31" s="12">
        <f>'5-Year Projections'!B30</f>
        <v>3.7706887600396755E-2</v>
      </c>
    </row>
    <row r="32" spans="1:7" x14ac:dyDescent="0.2">
      <c r="A32" s="12" t="s">
        <v>74</v>
      </c>
      <c r="B32" s="28">
        <v>0.25</v>
      </c>
      <c r="C32" s="28">
        <v>0.25</v>
      </c>
      <c r="D32" s="28">
        <v>0.08</v>
      </c>
      <c r="E32" s="23">
        <f>'5-Year Projections'!B28</f>
        <v>0</v>
      </c>
      <c r="F32" s="28">
        <f>'5-Year Projections'!B29</f>
        <v>-143643.44120806476</v>
      </c>
      <c r="G32" s="12">
        <f>'5-Year Projections'!B30</f>
        <v>3.7706887600396755E-2</v>
      </c>
    </row>
  </sheetData>
  <mergeCells count="1"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7ABE-C6AB-D348-93FD-A6F3E0CC6EBA}">
  <dimension ref="A1:F22"/>
  <sheetViews>
    <sheetView workbookViewId="0"/>
  </sheetViews>
  <sheetFormatPr baseColWidth="10" defaultRowHeight="16" x14ac:dyDescent="0.2"/>
  <cols>
    <col min="1" max="2" width="20.83203125" customWidth="1"/>
    <col min="3" max="6" width="18.83203125" customWidth="1"/>
  </cols>
  <sheetData>
    <row r="1" spans="1:6" ht="24" x14ac:dyDescent="0.3">
      <c r="A1" s="1" t="s">
        <v>75</v>
      </c>
      <c r="B1" s="2"/>
      <c r="C1" s="2"/>
      <c r="D1" s="2"/>
      <c r="E1" s="2"/>
      <c r="F1" s="2"/>
    </row>
    <row r="3" spans="1:6" x14ac:dyDescent="0.2">
      <c r="A3" s="27" t="s">
        <v>76</v>
      </c>
      <c r="B3" s="27" t="s">
        <v>77</v>
      </c>
      <c r="C3" s="27" t="s">
        <v>78</v>
      </c>
      <c r="D3" s="27" t="s">
        <v>79</v>
      </c>
      <c r="E3" s="27" t="s">
        <v>80</v>
      </c>
      <c r="F3" s="27" t="s">
        <v>81</v>
      </c>
    </row>
    <row r="4" spans="1:6" x14ac:dyDescent="0.2">
      <c r="A4" s="12" t="s">
        <v>2</v>
      </c>
      <c r="B4" s="28">
        <v>0.2</v>
      </c>
      <c r="C4" s="28">
        <v>0.25</v>
      </c>
      <c r="D4" s="28">
        <v>0.12</v>
      </c>
      <c r="E4" s="30">
        <v>2.5</v>
      </c>
      <c r="F4" s="28">
        <v>0.25</v>
      </c>
    </row>
    <row r="5" spans="1:6" x14ac:dyDescent="0.2">
      <c r="A5" s="12" t="s">
        <v>82</v>
      </c>
      <c r="B5" s="28">
        <v>0.08</v>
      </c>
      <c r="C5" s="28">
        <v>0.15</v>
      </c>
      <c r="D5" s="28">
        <v>0.09</v>
      </c>
      <c r="E5" s="30">
        <v>4</v>
      </c>
      <c r="F5" s="28">
        <v>0.15</v>
      </c>
    </row>
    <row r="6" spans="1:6" x14ac:dyDescent="0.2">
      <c r="A6" s="12" t="s">
        <v>83</v>
      </c>
      <c r="B6" s="28">
        <v>0.06</v>
      </c>
      <c r="C6" s="28">
        <v>0.08</v>
      </c>
      <c r="D6" s="28">
        <v>0.08</v>
      </c>
      <c r="E6" s="30">
        <v>3.5</v>
      </c>
      <c r="F6" s="28">
        <v>0.12</v>
      </c>
    </row>
    <row r="7" spans="1:6" x14ac:dyDescent="0.2">
      <c r="A7" s="12" t="s">
        <v>84</v>
      </c>
      <c r="B7" s="28">
        <v>0.12</v>
      </c>
      <c r="C7" s="28">
        <v>0.18</v>
      </c>
      <c r="D7" s="28">
        <v>0.1</v>
      </c>
      <c r="E7" s="30">
        <v>3</v>
      </c>
      <c r="F7" s="28">
        <v>0.18</v>
      </c>
    </row>
    <row r="8" spans="1:6" x14ac:dyDescent="0.2">
      <c r="A8" s="12" t="s">
        <v>85</v>
      </c>
      <c r="B8" s="28">
        <v>0.1</v>
      </c>
      <c r="C8" s="28">
        <v>0.3</v>
      </c>
      <c r="D8" s="28">
        <v>0.11</v>
      </c>
      <c r="E8" s="30">
        <v>2</v>
      </c>
      <c r="F8" s="28">
        <v>0.2</v>
      </c>
    </row>
    <row r="9" spans="1:6" x14ac:dyDescent="0.2">
      <c r="A9" s="12" t="s">
        <v>86</v>
      </c>
      <c r="B9" s="28">
        <v>7.0000000000000007E-2</v>
      </c>
      <c r="C9" s="28">
        <v>0.2</v>
      </c>
      <c r="D9" s="28">
        <v>0.09</v>
      </c>
      <c r="E9" s="30">
        <v>5</v>
      </c>
      <c r="F9" s="28">
        <v>0.15</v>
      </c>
    </row>
    <row r="10" spans="1:6" x14ac:dyDescent="0.2">
      <c r="A10" s="12" t="s">
        <v>87</v>
      </c>
      <c r="B10" s="28">
        <v>0.05</v>
      </c>
      <c r="C10" s="28">
        <v>0.22</v>
      </c>
      <c r="D10" s="28">
        <v>0.1</v>
      </c>
      <c r="E10" s="30">
        <v>6</v>
      </c>
      <c r="F10" s="28">
        <v>0.18</v>
      </c>
    </row>
    <row r="11" spans="1:6" x14ac:dyDescent="0.2">
      <c r="A11" s="12" t="s">
        <v>88</v>
      </c>
      <c r="B11" s="28">
        <v>0.09</v>
      </c>
      <c r="C11" s="28">
        <v>0.12</v>
      </c>
      <c r="D11" s="28">
        <v>0.11</v>
      </c>
      <c r="E11" s="30">
        <v>4.5</v>
      </c>
      <c r="F11" s="28">
        <v>0.15</v>
      </c>
    </row>
    <row r="12" spans="1:6" x14ac:dyDescent="0.2">
      <c r="A12" s="12" t="s">
        <v>89</v>
      </c>
      <c r="B12" s="28">
        <v>0.04</v>
      </c>
      <c r="C12" s="28">
        <v>0.15</v>
      </c>
      <c r="D12" s="28">
        <v>7.0000000000000007E-2</v>
      </c>
      <c r="E12" s="30">
        <v>5</v>
      </c>
      <c r="F12" s="28">
        <v>0.1</v>
      </c>
    </row>
    <row r="13" spans="1:6" x14ac:dyDescent="0.2">
      <c r="A13" s="12" t="s">
        <v>90</v>
      </c>
      <c r="B13" s="28">
        <v>0.11</v>
      </c>
      <c r="C13" s="28">
        <v>0.1</v>
      </c>
      <c r="D13" s="28">
        <v>0.1</v>
      </c>
      <c r="E13" s="30">
        <v>3.5</v>
      </c>
      <c r="F13" s="28">
        <v>0.15</v>
      </c>
    </row>
    <row r="16" spans="1:6" ht="19" x14ac:dyDescent="0.25">
      <c r="A16" s="5" t="s">
        <v>91</v>
      </c>
    </row>
    <row r="18" spans="1:2" ht="30" customHeight="1" x14ac:dyDescent="0.2">
      <c r="A18" s="3" t="s">
        <v>92</v>
      </c>
      <c r="B18" s="31" t="s">
        <v>93</v>
      </c>
    </row>
    <row r="19" spans="1:2" ht="30" customHeight="1" x14ac:dyDescent="0.2">
      <c r="A19" s="3" t="s">
        <v>94</v>
      </c>
      <c r="B19" s="31" t="s">
        <v>95</v>
      </c>
    </row>
    <row r="20" spans="1:2" ht="30" customHeight="1" x14ac:dyDescent="0.2">
      <c r="A20" s="3" t="s">
        <v>96</v>
      </c>
      <c r="B20" s="31" t="s">
        <v>97</v>
      </c>
    </row>
    <row r="21" spans="1:2" ht="30" customHeight="1" x14ac:dyDescent="0.2">
      <c r="A21" s="3" t="s">
        <v>98</v>
      </c>
      <c r="B21" s="31" t="s">
        <v>99</v>
      </c>
    </row>
    <row r="22" spans="1:2" ht="30" customHeight="1" x14ac:dyDescent="0.2">
      <c r="A22" s="3" t="s">
        <v>100</v>
      </c>
      <c r="B22" s="31" t="s">
        <v>101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Dashboard</vt:lpstr>
      <vt:lpstr>Inputs</vt:lpstr>
      <vt:lpstr>5-Year Projections</vt:lpstr>
      <vt:lpstr>Sensitivity Analysis</vt:lpstr>
      <vt:lpstr>Industry Models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Walda</dc:creator>
  <cp:lastModifiedBy>Peter Walda</cp:lastModifiedBy>
  <dcterms:created xsi:type="dcterms:W3CDTF">2025-08-03T07:15:05Z</dcterms:created>
  <dcterms:modified xsi:type="dcterms:W3CDTF">2025-08-03T07:15:24Z</dcterms:modified>
</cp:coreProperties>
</file>